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dd_c\traduceri 2017\MATERIALE AGOA 25.10.2017\"/>
    </mc:Choice>
  </mc:AlternateContent>
  <bookViews>
    <workbookView xWindow="0" yWindow="0" windowWidth="28800" windowHeight="11730"/>
  </bookViews>
  <sheets>
    <sheet name="cu 85 mil" sheetId="2" r:id="rId1"/>
    <sheet name="fara 85 mil le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24" i="3" s="1"/>
  <c r="G25" i="3"/>
  <c r="G24" i="3" s="1"/>
  <c r="F25" i="3"/>
  <c r="F24" i="3" s="1"/>
  <c r="E25" i="3"/>
  <c r="E24" i="3" s="1"/>
  <c r="D25" i="3"/>
  <c r="D24" i="3" s="1"/>
  <c r="C25" i="3"/>
  <c r="C24" i="3" s="1"/>
  <c r="B25" i="3"/>
  <c r="B24" i="3" s="1"/>
  <c r="F23" i="3"/>
  <c r="F22" i="3" s="1"/>
  <c r="E23" i="3"/>
  <c r="E22" i="3" s="1"/>
  <c r="D23" i="3"/>
  <c r="D22" i="3" s="1"/>
  <c r="C23" i="3"/>
  <c r="C22" i="3" s="1"/>
  <c r="B23" i="3"/>
  <c r="B22" i="3" s="1"/>
  <c r="B21" i="3"/>
  <c r="H19" i="3"/>
  <c r="G19" i="3"/>
  <c r="F19" i="3"/>
  <c r="E19" i="3"/>
  <c r="D19" i="3"/>
  <c r="C19" i="3"/>
  <c r="B19" i="3"/>
  <c r="H18" i="3"/>
  <c r="G18" i="3"/>
  <c r="B18" i="3"/>
  <c r="H17" i="3"/>
  <c r="G17" i="3"/>
  <c r="E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H23" i="3" s="1"/>
  <c r="H22" i="3" s="1"/>
  <c r="G13" i="3"/>
  <c r="G23" i="3" s="1"/>
  <c r="G22" i="3" s="1"/>
  <c r="B13" i="3"/>
  <c r="H11" i="3"/>
  <c r="G11" i="3"/>
  <c r="D11" i="3"/>
  <c r="B11" i="3"/>
  <c r="H10" i="3"/>
  <c r="G10" i="3"/>
  <c r="B10" i="3"/>
  <c r="H9" i="3"/>
  <c r="G9" i="3"/>
  <c r="G8" i="3" s="1"/>
  <c r="F9" i="3"/>
  <c r="F8" i="3" s="1"/>
  <c r="E9" i="3"/>
  <c r="E8" i="3" s="1"/>
  <c r="D9" i="3"/>
  <c r="C9" i="3"/>
  <c r="C8" i="3" s="1"/>
  <c r="B9" i="3"/>
  <c r="B6" i="3"/>
  <c r="B12" i="3" l="1"/>
  <c r="C12" i="3"/>
  <c r="C20" i="3"/>
  <c r="D6" i="3" s="1"/>
  <c r="E12" i="3"/>
  <c r="F12" i="3"/>
  <c r="B8" i="3"/>
  <c r="D8" i="3"/>
  <c r="H8" i="3"/>
  <c r="D12" i="3"/>
  <c r="B26" i="3"/>
  <c r="G21" i="3" s="1"/>
  <c r="G26" i="3" s="1"/>
  <c r="H21" i="3" s="1"/>
  <c r="H26" i="3" s="1"/>
  <c r="C26" i="3"/>
  <c r="D21" i="3" s="1"/>
  <c r="D26" i="3" s="1"/>
  <c r="E21" i="3" s="1"/>
  <c r="E26" i="3" s="1"/>
  <c r="F21" i="3" s="1"/>
  <c r="F26" i="3" s="1"/>
  <c r="G12" i="3"/>
  <c r="H12" i="3"/>
  <c r="B18" i="2"/>
  <c r="H26" i="2"/>
  <c r="H25" i="2" s="1"/>
  <c r="G26" i="2"/>
  <c r="G25" i="2" s="1"/>
  <c r="F26" i="2"/>
  <c r="F25" i="2" s="1"/>
  <c r="E26" i="2"/>
  <c r="D26" i="2"/>
  <c r="D25" i="2" s="1"/>
  <c r="C26" i="2"/>
  <c r="C25" i="2" s="1"/>
  <c r="B26" i="2"/>
  <c r="B25" i="2" s="1"/>
  <c r="E25" i="2"/>
  <c r="F24" i="2"/>
  <c r="F23" i="2" s="1"/>
  <c r="E24" i="2"/>
  <c r="E23" i="2" s="1"/>
  <c r="D24" i="2"/>
  <c r="D23" i="2" s="1"/>
  <c r="C24" i="2"/>
  <c r="C23" i="2" s="1"/>
  <c r="B24" i="2"/>
  <c r="B23" i="2" s="1"/>
  <c r="B22" i="2"/>
  <c r="H20" i="2"/>
  <c r="G20" i="2"/>
  <c r="F20" i="2"/>
  <c r="E20" i="2"/>
  <c r="D20" i="2"/>
  <c r="C20" i="2"/>
  <c r="B20" i="2"/>
  <c r="H19" i="2"/>
  <c r="G19" i="2"/>
  <c r="B19" i="2"/>
  <c r="H18" i="2"/>
  <c r="G18" i="2"/>
  <c r="E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H24" i="2" s="1"/>
  <c r="H23" i="2" s="1"/>
  <c r="G14" i="2"/>
  <c r="B14" i="2"/>
  <c r="H12" i="2"/>
  <c r="G12" i="2"/>
  <c r="D12" i="2"/>
  <c r="B12" i="2"/>
  <c r="H11" i="2"/>
  <c r="G11" i="2"/>
  <c r="B11" i="2"/>
  <c r="H10" i="2"/>
  <c r="G10" i="2"/>
  <c r="F10" i="2"/>
  <c r="E10" i="2"/>
  <c r="E9" i="2" s="1"/>
  <c r="D10" i="2"/>
  <c r="C10" i="2"/>
  <c r="B10" i="2"/>
  <c r="F9" i="2"/>
  <c r="C9" i="2"/>
  <c r="B7" i="2"/>
  <c r="D9" i="2" l="1"/>
  <c r="B13" i="2"/>
  <c r="C13" i="2"/>
  <c r="C21" i="2" s="1"/>
  <c r="D7" i="2" s="1"/>
  <c r="D21" i="2" s="1"/>
  <c r="B20" i="3"/>
  <c r="B27" i="3" s="1"/>
  <c r="D20" i="3"/>
  <c r="E6" i="3" s="1"/>
  <c r="E20" i="3" s="1"/>
  <c r="C27" i="3"/>
  <c r="F13" i="2"/>
  <c r="G9" i="2"/>
  <c r="C27" i="2"/>
  <c r="D22" i="2" s="1"/>
  <c r="D27" i="2" s="1"/>
  <c r="E22" i="2" s="1"/>
  <c r="E27" i="2" s="1"/>
  <c r="F22" i="2" s="1"/>
  <c r="F27" i="2" s="1"/>
  <c r="H9" i="2"/>
  <c r="G13" i="2"/>
  <c r="D13" i="2"/>
  <c r="B9" i="2"/>
  <c r="E13" i="2"/>
  <c r="B21" i="2"/>
  <c r="G7" i="2" s="1"/>
  <c r="G21" i="2" s="1"/>
  <c r="B27" i="2"/>
  <c r="G22" i="2" s="1"/>
  <c r="H13" i="2"/>
  <c r="G24" i="2"/>
  <c r="G23" i="2" s="1"/>
  <c r="G6" i="3" l="1"/>
  <c r="G20" i="3" s="1"/>
  <c r="D27" i="3"/>
  <c r="G27" i="3"/>
  <c r="H6" i="3"/>
  <c r="H20" i="3" s="1"/>
  <c r="H27" i="3" s="1"/>
  <c r="E27" i="3"/>
  <c r="F6" i="3"/>
  <c r="F20" i="3" s="1"/>
  <c r="F27" i="3" s="1"/>
  <c r="B28" i="2"/>
  <c r="C28" i="2"/>
  <c r="D28" i="2"/>
  <c r="E7" i="2"/>
  <c r="E21" i="2" s="1"/>
  <c r="G27" i="2"/>
  <c r="H22" i="2" s="1"/>
  <c r="H27" i="2" s="1"/>
  <c r="H7" i="2"/>
  <c r="H21" i="2" s="1"/>
  <c r="G28" i="2" l="1"/>
  <c r="E28" i="2"/>
  <c r="F7" i="2"/>
  <c r="F21" i="2" s="1"/>
  <c r="F28" i="2" s="1"/>
  <c r="H28" i="2"/>
</calcChain>
</file>

<file path=xl/sharedStrings.xml><?xml version="1.0" encoding="utf-8"?>
<sst xmlns="http://schemas.openxmlformats.org/spreadsheetml/2006/main" count="72" uniqueCount="59">
  <si>
    <t>CONPET S.A. PLOIEȘTI</t>
  </si>
  <si>
    <t xml:space="preserve">Descriere </t>
  </si>
  <si>
    <t>01.01.2017-31.12.2017</t>
  </si>
  <si>
    <t>Trim. I</t>
  </si>
  <si>
    <t>Trim. II</t>
  </si>
  <si>
    <t>Trim. III</t>
  </si>
  <si>
    <t>Trim. IV</t>
  </si>
  <si>
    <t>01.01.2018-31.12.2018</t>
  </si>
  <si>
    <t>01.01.2019-31.12.2019</t>
  </si>
  <si>
    <t>ÎNCASĂRI</t>
  </si>
  <si>
    <t>din prestarea de servicii</t>
  </si>
  <si>
    <t>din alte vânzări</t>
  </si>
  <si>
    <t>din titluri de stat și dob.depozite în sold</t>
  </si>
  <si>
    <t>PLĂȚI</t>
  </si>
  <si>
    <t>alimentări cotă de modernizare</t>
  </si>
  <si>
    <t>către furnizorii de bunuri și servicii</t>
  </si>
  <si>
    <t>către și în numele angajaților</t>
  </si>
  <si>
    <t>către Bugetul de stat și bugetele locale</t>
  </si>
  <si>
    <t>dividende</t>
  </si>
  <si>
    <t>participarea salariaților la profit</t>
  </si>
  <si>
    <t>alte plăți către creditori diverși</t>
  </si>
  <si>
    <t>din cota de modernizare</t>
  </si>
  <si>
    <t>către furnizorii de investiții</t>
  </si>
  <si>
    <t xml:space="preserve">                                            FLUX DE NUMERAR </t>
  </si>
  <si>
    <t>Sold la sfârșitul  perioadei din activitatea de operare</t>
  </si>
  <si>
    <t>Sold la începutul perioadei din activitatea de operare</t>
  </si>
  <si>
    <t>Sold la sfarsitul perioadei cota de modernizare</t>
  </si>
  <si>
    <t>Sold total lichidități la sfârșitul perioadei</t>
  </si>
  <si>
    <t>Anexa nr. 1</t>
  </si>
  <si>
    <t xml:space="preserve">                                          estimat pentru perioada 2017-2019</t>
  </si>
  <si>
    <t>Sold la inceputul perioadei cota de modernizare</t>
  </si>
  <si>
    <t>mii lei</t>
  </si>
  <si>
    <t>Director Economic,</t>
  </si>
  <si>
    <t>Sanda Toader</t>
  </si>
  <si>
    <t xml:space="preserve">Balance at the beginning of the period out of the operating activity </t>
  </si>
  <si>
    <t xml:space="preserve">PROCEEDS </t>
  </si>
  <si>
    <t>out of services supply</t>
  </si>
  <si>
    <t xml:space="preserve">out of other sales </t>
  </si>
  <si>
    <t xml:space="preserve">out of government bonds and interests balance deposits </t>
  </si>
  <si>
    <t>PAYMENTS</t>
  </si>
  <si>
    <t>financing the modernization quota</t>
  </si>
  <si>
    <t xml:space="preserve">to the goods and services suppliers </t>
  </si>
  <si>
    <t xml:space="preserve">to and on behalf of the employees  </t>
  </si>
  <si>
    <t>to the state Budget and the local budgets</t>
  </si>
  <si>
    <t xml:space="preserve">dividends </t>
  </si>
  <si>
    <t xml:space="preserve">participation of employees to the profit </t>
  </si>
  <si>
    <t>other payments to different creditors  către creditori diverși</t>
  </si>
  <si>
    <t xml:space="preserve">                                          CASH FLOW</t>
  </si>
  <si>
    <t xml:space="preserve">                                         estimatede for the period 2017-2019 </t>
  </si>
  <si>
    <t xml:space="preserve">Description </t>
  </si>
  <si>
    <t>Annex no. 2</t>
  </si>
  <si>
    <t xml:space="preserve">Balance at the end of the period out of the operating activity </t>
  </si>
  <si>
    <t xml:space="preserve">Balance at the beginning of the modernization quota period </t>
  </si>
  <si>
    <t>PROCEEDS</t>
  </si>
  <si>
    <t xml:space="preserve">of the modernization quota </t>
  </si>
  <si>
    <t xml:space="preserve">to the investments suppliers </t>
  </si>
  <si>
    <t xml:space="preserve">Balance at the end of the modernization quota period </t>
  </si>
  <si>
    <t>Total balance liquidites lat the end of the period</t>
  </si>
  <si>
    <t xml:space="preserve"> Economic Director,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</si>
</sst>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/>
    <xf numFmtId="3" fontId="6" fillId="0" borderId="4" xfId="0" applyNumberFormat="1" applyFont="1" applyBorder="1"/>
    <xf numFmtId="0" fontId="6" fillId="0" borderId="4" xfId="0" applyFont="1" applyBorder="1"/>
    <xf numFmtId="0" fontId="9" fillId="0" borderId="5" xfId="0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8" xfId="0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0" fontId="7" fillId="0" borderId="8" xfId="0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6" fillId="0" borderId="9" xfId="0" applyNumberFormat="1" applyFont="1" applyFill="1" applyBorder="1"/>
    <xf numFmtId="3" fontId="10" fillId="0" borderId="9" xfId="0" applyNumberFormat="1" applyFont="1" applyFill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3" fontId="11" fillId="0" borderId="9" xfId="0" applyNumberFormat="1" applyFont="1" applyFill="1" applyBorder="1"/>
    <xf numFmtId="3" fontId="11" fillId="0" borderId="10" xfId="0" applyNumberFormat="1" applyFont="1" applyFill="1" applyBorder="1"/>
    <xf numFmtId="3" fontId="7" fillId="0" borderId="9" xfId="0" applyNumberFormat="1" applyFont="1" applyFill="1" applyBorder="1"/>
    <xf numFmtId="49" fontId="6" fillId="0" borderId="8" xfId="0" applyNumberFormat="1" applyFont="1" applyBorder="1"/>
    <xf numFmtId="0" fontId="9" fillId="0" borderId="11" xfId="0" applyFont="1" applyBorder="1" applyAlignment="1">
      <alignment vertical="center" wrapText="1"/>
    </xf>
    <xf numFmtId="3" fontId="12" fillId="0" borderId="12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1" fillId="0" borderId="9" xfId="0" applyNumberFormat="1" applyFont="1" applyBorder="1"/>
    <xf numFmtId="3" fontId="9" fillId="0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0" fontId="9" fillId="0" borderId="0" xfId="0" applyFont="1"/>
    <xf numFmtId="49" fontId="7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10" workbookViewId="0">
      <selection activeCell="A30" sqref="A30"/>
    </sheetView>
  </sheetViews>
  <sheetFormatPr defaultRowHeight="15" x14ac:dyDescent="0.25"/>
  <cols>
    <col min="1" max="1" width="62.75" customWidth="1"/>
    <col min="2" max="2" width="17.75" style="2" customWidth="1"/>
    <col min="3" max="3" width="13.625" hidden="1" customWidth="1"/>
    <col min="4" max="5" width="11.125" hidden="1" customWidth="1"/>
    <col min="6" max="6" width="16.625" hidden="1" customWidth="1"/>
    <col min="7" max="7" width="17.875" customWidth="1"/>
    <col min="8" max="8" width="19.25" customWidth="1"/>
    <col min="12" max="12" width="17.5" customWidth="1"/>
    <col min="13" max="13" width="13.875" style="3" bestFit="1" customWidth="1"/>
  </cols>
  <sheetData>
    <row r="1" spans="1:13" ht="15.75" x14ac:dyDescent="0.25">
      <c r="A1" s="19" t="s">
        <v>0</v>
      </c>
      <c r="B1" s="20"/>
      <c r="C1" s="18"/>
      <c r="D1" s="18"/>
      <c r="E1" s="18"/>
      <c r="F1" s="18"/>
      <c r="G1" s="18"/>
      <c r="H1" s="19" t="s">
        <v>50</v>
      </c>
      <c r="I1" s="18"/>
      <c r="J1" s="18"/>
      <c r="K1" s="18"/>
    </row>
    <row r="2" spans="1:13" s="4" customFormat="1" ht="15.75" x14ac:dyDescent="0.25">
      <c r="A2" s="21" t="s">
        <v>47</v>
      </c>
      <c r="B2" s="20"/>
      <c r="C2" s="18"/>
      <c r="D2" s="18"/>
      <c r="E2" s="18"/>
      <c r="F2" s="18"/>
      <c r="G2" s="18"/>
      <c r="H2" s="18"/>
      <c r="I2" s="18"/>
      <c r="J2" s="18"/>
      <c r="K2" s="18"/>
      <c r="M2" s="5"/>
    </row>
    <row r="3" spans="1:13" s="4" customFormat="1" ht="15.75" x14ac:dyDescent="0.25">
      <c r="A3" s="19" t="s">
        <v>48</v>
      </c>
      <c r="B3" s="20"/>
      <c r="C3" s="18"/>
      <c r="D3" s="18"/>
      <c r="E3" s="18"/>
      <c r="F3" s="18"/>
      <c r="G3" s="18"/>
      <c r="H3" s="18"/>
      <c r="I3" s="18"/>
      <c r="J3" s="18"/>
      <c r="K3" s="18"/>
      <c r="M3" s="5"/>
    </row>
    <row r="4" spans="1:13" ht="16.5" thickBot="1" x14ac:dyDescent="0.3">
      <c r="A4" s="19"/>
      <c r="B4" s="20"/>
      <c r="C4" s="18"/>
      <c r="D4" s="18"/>
      <c r="E4" s="18"/>
      <c r="F4" s="18"/>
      <c r="G4" s="18"/>
      <c r="H4" s="18" t="s">
        <v>31</v>
      </c>
      <c r="I4" s="18"/>
      <c r="J4" s="18"/>
      <c r="K4" s="18"/>
    </row>
    <row r="5" spans="1:13" s="6" customFormat="1" ht="32.25" thickBot="1" x14ac:dyDescent="0.3">
      <c r="A5" s="22" t="s">
        <v>49</v>
      </c>
      <c r="B5" s="23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3" t="s">
        <v>7</v>
      </c>
      <c r="H5" s="60" t="s">
        <v>8</v>
      </c>
      <c r="I5" s="25"/>
      <c r="J5" s="25"/>
      <c r="K5" s="25"/>
      <c r="M5" s="7"/>
    </row>
    <row r="6" spans="1:13" ht="16.5" thickBot="1" x14ac:dyDescent="0.3">
      <c r="A6" s="26"/>
      <c r="B6" s="27"/>
      <c r="C6" s="28"/>
      <c r="D6" s="28"/>
      <c r="E6" s="28"/>
      <c r="F6" s="28"/>
      <c r="G6" s="28"/>
      <c r="H6" s="28"/>
      <c r="I6" s="18"/>
      <c r="J6" s="18"/>
      <c r="K6" s="18"/>
    </row>
    <row r="7" spans="1:13" s="8" customFormat="1" ht="30" x14ac:dyDescent="0.25">
      <c r="A7" s="29" t="s">
        <v>34</v>
      </c>
      <c r="B7" s="30">
        <f>(406487053-187477648)/1000</f>
        <v>219009.405</v>
      </c>
      <c r="C7" s="30">
        <v>406487053</v>
      </c>
      <c r="D7" s="30">
        <f>C21</f>
        <v>434621642.92000002</v>
      </c>
      <c r="E7" s="30">
        <f>D21</f>
        <v>463752538.37</v>
      </c>
      <c r="F7" s="30">
        <f>E21</f>
        <v>352141196.03999996</v>
      </c>
      <c r="G7" s="30">
        <f>B21</f>
        <v>44774.731219999958</v>
      </c>
      <c r="H7" s="31">
        <f>G21</f>
        <v>36589.101219999953</v>
      </c>
      <c r="I7" s="32"/>
      <c r="J7" s="32"/>
      <c r="K7" s="32"/>
      <c r="M7" s="9"/>
    </row>
    <row r="8" spans="1:13" ht="15.75" x14ac:dyDescent="0.25">
      <c r="A8" s="33"/>
      <c r="B8" s="34"/>
      <c r="C8" s="34"/>
      <c r="D8" s="34"/>
      <c r="E8" s="34"/>
      <c r="F8" s="34"/>
      <c r="G8" s="34"/>
      <c r="H8" s="35"/>
      <c r="I8" s="18"/>
      <c r="J8" s="18"/>
      <c r="K8" s="18"/>
    </row>
    <row r="9" spans="1:13" ht="15.75" x14ac:dyDescent="0.25">
      <c r="A9" s="36" t="s">
        <v>35</v>
      </c>
      <c r="B9" s="37">
        <f>(B10+B11+B12)</f>
        <v>439285.85622000002</v>
      </c>
      <c r="C9" s="37">
        <f t="shared" ref="C9:H9" si="0">C10+C11+C12</f>
        <v>103349243.61</v>
      </c>
      <c r="D9" s="37">
        <f t="shared" si="0"/>
        <v>114058110.94999999</v>
      </c>
      <c r="E9" s="37">
        <f t="shared" si="0"/>
        <v>110805555.17</v>
      </c>
      <c r="F9" s="37">
        <f t="shared" si="0"/>
        <v>110897550.44</v>
      </c>
      <c r="G9" s="37">
        <f t="shared" si="0"/>
        <v>441448.55</v>
      </c>
      <c r="H9" s="38">
        <f t="shared" si="0"/>
        <v>443616.73</v>
      </c>
      <c r="I9" s="18"/>
      <c r="J9" s="18"/>
      <c r="K9" s="18"/>
    </row>
    <row r="10" spans="1:13" ht="15.75" x14ac:dyDescent="0.25">
      <c r="A10" s="33" t="s">
        <v>36</v>
      </c>
      <c r="B10" s="39">
        <f>(363955000*1.19)/1000</f>
        <v>433106.45</v>
      </c>
      <c r="C10" s="34">
        <f>86810619*1.19</f>
        <v>103304636.61</v>
      </c>
      <c r="D10" s="34">
        <f>92331305*1.19</f>
        <v>109874252.94999999</v>
      </c>
      <c r="E10" s="34">
        <f>92336143*1.19</f>
        <v>109880010.17</v>
      </c>
      <c r="F10" s="34">
        <f>92477276*1.19-408</f>
        <v>110047550.44</v>
      </c>
      <c r="G10" s="34">
        <f>(368795000*1.19)/1000</f>
        <v>438866.05</v>
      </c>
      <c r="H10" s="35">
        <f>(370617000*1.19)/1000</f>
        <v>441034.23</v>
      </c>
      <c r="I10" s="18"/>
      <c r="J10" s="18"/>
      <c r="K10" s="18"/>
    </row>
    <row r="11" spans="1:13" ht="15.75" x14ac:dyDescent="0.25">
      <c r="A11" s="33" t="s">
        <v>37</v>
      </c>
      <c r="B11" s="40">
        <f>(1750000*1.19+1341938*1.19)/1000</f>
        <v>3679.4062199999998</v>
      </c>
      <c r="C11" s="41">
        <v>0</v>
      </c>
      <c r="D11" s="41">
        <v>2000000</v>
      </c>
      <c r="E11" s="41">
        <v>750000</v>
      </c>
      <c r="F11" s="41">
        <v>750000</v>
      </c>
      <c r="G11" s="41">
        <f>(1750000*1.19)/1000</f>
        <v>2082.5</v>
      </c>
      <c r="H11" s="42">
        <f>(1750000*1.19)/1000</f>
        <v>2082.5</v>
      </c>
      <c r="I11" s="18"/>
      <c r="J11" s="18"/>
      <c r="K11" s="18"/>
    </row>
    <row r="12" spans="1:13" ht="15.75" x14ac:dyDescent="0.25">
      <c r="A12" s="33" t="s">
        <v>38</v>
      </c>
      <c r="B12" s="40">
        <f>2500000/1000</f>
        <v>2500</v>
      </c>
      <c r="C12" s="34">
        <v>44607</v>
      </c>
      <c r="D12" s="34">
        <f>1797793-175545+606217-44607</f>
        <v>2183858</v>
      </c>
      <c r="E12" s="34">
        <v>175545</v>
      </c>
      <c r="F12" s="34">
        <v>100000</v>
      </c>
      <c r="G12" s="41">
        <f>500000/1000</f>
        <v>500</v>
      </c>
      <c r="H12" s="42">
        <f>500000/1000</f>
        <v>500</v>
      </c>
      <c r="I12" s="18"/>
      <c r="J12" s="18"/>
      <c r="K12" s="18"/>
    </row>
    <row r="13" spans="1:13" ht="15.75" x14ac:dyDescent="0.25">
      <c r="A13" s="36" t="s">
        <v>39</v>
      </c>
      <c r="B13" s="43">
        <f>SUM(B14:B20)</f>
        <v>613520.53</v>
      </c>
      <c r="C13" s="43">
        <f t="shared" ref="C13:G13" si="1">SUM(C14:C20)</f>
        <v>75214653.689999998</v>
      </c>
      <c r="D13" s="43">
        <f t="shared" si="1"/>
        <v>84927215.5</v>
      </c>
      <c r="E13" s="43">
        <f t="shared" si="1"/>
        <v>222416897.5</v>
      </c>
      <c r="F13" s="43">
        <f t="shared" si="1"/>
        <v>79193377.090000004</v>
      </c>
      <c r="G13" s="43">
        <f t="shared" si="1"/>
        <v>449634.18</v>
      </c>
      <c r="H13" s="44">
        <f>SUM(H14:H20)</f>
        <v>458400.17000000004</v>
      </c>
      <c r="I13" s="18"/>
      <c r="J13" s="18"/>
      <c r="K13" s="18"/>
    </row>
    <row r="14" spans="1:13" ht="15.75" x14ac:dyDescent="0.25">
      <c r="A14" s="33" t="s">
        <v>40</v>
      </c>
      <c r="B14" s="40">
        <f>50324966/1000</f>
        <v>50324.966</v>
      </c>
      <c r="C14" s="45"/>
      <c r="D14" s="45"/>
      <c r="E14" s="45"/>
      <c r="F14" s="45"/>
      <c r="G14" s="34">
        <f>51631000/1000</f>
        <v>51631</v>
      </c>
      <c r="H14" s="35">
        <f>51886000/1000</f>
        <v>51886</v>
      </c>
      <c r="I14" s="18"/>
      <c r="J14" s="18"/>
      <c r="K14" s="18"/>
    </row>
    <row r="15" spans="1:13" ht="15.75" x14ac:dyDescent="0.25">
      <c r="A15" s="33" t="s">
        <v>41</v>
      </c>
      <c r="B15" s="40">
        <f>(90273000*1.19+(64269000-50451000)*1.19)/1000</f>
        <v>123868.29</v>
      </c>
      <c r="C15" s="34">
        <f>23756051*1.19</f>
        <v>28269700.689999998</v>
      </c>
      <c r="D15" s="34">
        <f>22028650*1.19</f>
        <v>26214093.5</v>
      </c>
      <c r="E15" s="34">
        <f>21910050*1.19</f>
        <v>26072959.5</v>
      </c>
      <c r="F15" s="34">
        <f>22578511*1.19+688-1000</f>
        <v>26868116.09</v>
      </c>
      <c r="G15" s="34">
        <f>(90080000*1.19+14142000*1.19)/1000</f>
        <v>124024.18</v>
      </c>
      <c r="H15" s="35">
        <f>(91532000*1.19+21011000*1.19)/1000</f>
        <v>133926.17000000001</v>
      </c>
      <c r="I15" s="18"/>
      <c r="J15" s="18"/>
      <c r="K15" s="18"/>
    </row>
    <row r="16" spans="1:13" ht="15.75" x14ac:dyDescent="0.25">
      <c r="A16" s="33" t="s">
        <v>42</v>
      </c>
      <c r="B16" s="40">
        <f>(111960000-4756000-19204000-26772000)/1000</f>
        <v>61228</v>
      </c>
      <c r="C16" s="39">
        <f>26243815-4336731</f>
        <v>21907084</v>
      </c>
      <c r="D16" s="39">
        <f>32698984-4756000-5538016</f>
        <v>22404968</v>
      </c>
      <c r="E16" s="39">
        <f>26751526-4426242</f>
        <v>22325284</v>
      </c>
      <c r="F16" s="39">
        <f>26265860-4503338-185</f>
        <v>21762337</v>
      </c>
      <c r="G16" s="34">
        <f>(77625000-25616250+650000+12210000-4762000+2300000+400000)/1000</f>
        <v>62806.75</v>
      </c>
      <c r="H16" s="35">
        <f>(77625000-25616250+650000+12210000-4762000+2300000+500000)/1000</f>
        <v>62906.75</v>
      </c>
      <c r="I16" s="18"/>
      <c r="J16" s="18"/>
      <c r="K16" s="18"/>
    </row>
    <row r="17" spans="1:13" ht="15.75" x14ac:dyDescent="0.25">
      <c r="A17" s="33" t="s">
        <v>43</v>
      </c>
      <c r="B17" s="40">
        <f>(29058000+4500000*12+14247000+19204000+26772000)/1000</f>
        <v>143281</v>
      </c>
      <c r="C17" s="39">
        <f>4336731+6563000+263138+3*4500000</f>
        <v>24662869</v>
      </c>
      <c r="D17" s="39">
        <f>5538016+7127000+263138+3*4500000+4749000</f>
        <v>31177154</v>
      </c>
      <c r="E17" s="39">
        <f>4426242+7143000+263138+3*4500000+4749000</f>
        <v>30081380</v>
      </c>
      <c r="F17" s="39">
        <f>4503338+7171981+263138+3*4500000+4749000+467</f>
        <v>30187924</v>
      </c>
      <c r="G17" s="34">
        <f>(25616250+18777000+29785000+13685000+4500000*12)/1000</f>
        <v>141863.25</v>
      </c>
      <c r="H17" s="35">
        <f>(25616250+18777000+30095000+13702000+4500000*12)/1000</f>
        <v>142190.25</v>
      </c>
      <c r="I17" s="18"/>
      <c r="J17" s="18"/>
      <c r="K17" s="18"/>
    </row>
    <row r="18" spans="1:13" ht="15.75" x14ac:dyDescent="0.25">
      <c r="A18" s="46" t="s">
        <v>44</v>
      </c>
      <c r="B18" s="41">
        <f>(69836604+17118920+56606750)/1000+85000</f>
        <v>228562.274</v>
      </c>
      <c r="C18" s="34">
        <v>0</v>
      </c>
      <c r="D18" s="34">
        <v>0</v>
      </c>
      <c r="E18" s="34">
        <f>69836604+17118920+56606750</f>
        <v>143562274</v>
      </c>
      <c r="F18" s="34">
        <v>0</v>
      </c>
      <c r="G18" s="34">
        <f>62837000/1000</f>
        <v>62837</v>
      </c>
      <c r="H18" s="35">
        <f>61019000/1000</f>
        <v>61019</v>
      </c>
      <c r="I18" s="18"/>
      <c r="J18" s="18"/>
      <c r="K18" s="18"/>
    </row>
    <row r="19" spans="1:13" ht="15.75" x14ac:dyDescent="0.25">
      <c r="A19" s="46" t="s">
        <v>45</v>
      </c>
      <c r="B19" s="40">
        <f>4756000/1000</f>
        <v>4756</v>
      </c>
      <c r="C19" s="34">
        <v>0</v>
      </c>
      <c r="D19" s="34">
        <v>4756000</v>
      </c>
      <c r="E19" s="34">
        <v>0</v>
      </c>
      <c r="F19" s="34">
        <v>0</v>
      </c>
      <c r="G19" s="34">
        <f>4972000/1000</f>
        <v>4972</v>
      </c>
      <c r="H19" s="35">
        <f>4972000/1000</f>
        <v>4972</v>
      </c>
      <c r="I19" s="18"/>
      <c r="J19" s="18"/>
      <c r="K19" s="18"/>
    </row>
    <row r="20" spans="1:13" ht="15.75" x14ac:dyDescent="0.25">
      <c r="A20" s="46" t="s">
        <v>46</v>
      </c>
      <c r="B20" s="40">
        <f>1500000/1000</f>
        <v>1500</v>
      </c>
      <c r="C20" s="34">
        <f>1500000/4</f>
        <v>375000</v>
      </c>
      <c r="D20" s="34">
        <f t="shared" ref="D20:F20" si="2">1500000/4</f>
        <v>375000</v>
      </c>
      <c r="E20" s="34">
        <f t="shared" si="2"/>
        <v>375000</v>
      </c>
      <c r="F20" s="34">
        <f t="shared" si="2"/>
        <v>375000</v>
      </c>
      <c r="G20" s="34">
        <f>1500000/1000</f>
        <v>1500</v>
      </c>
      <c r="H20" s="35">
        <f>1500000/1000</f>
        <v>1500</v>
      </c>
      <c r="I20" s="18"/>
      <c r="J20" s="18"/>
      <c r="K20" s="18"/>
    </row>
    <row r="21" spans="1:13" s="8" customFormat="1" ht="15.75" thickBot="1" x14ac:dyDescent="0.3">
      <c r="A21" s="47" t="s">
        <v>51</v>
      </c>
      <c r="B21" s="48">
        <f t="shared" ref="B21:H21" si="3">B7+B9-B13</f>
        <v>44774.731219999958</v>
      </c>
      <c r="C21" s="49">
        <f t="shared" si="3"/>
        <v>434621642.92000002</v>
      </c>
      <c r="D21" s="49">
        <f t="shared" si="3"/>
        <v>463752538.37</v>
      </c>
      <c r="E21" s="49">
        <f t="shared" si="3"/>
        <v>352141196.03999996</v>
      </c>
      <c r="F21" s="49">
        <f t="shared" si="3"/>
        <v>383845369.38999999</v>
      </c>
      <c r="G21" s="50">
        <f t="shared" si="3"/>
        <v>36589.101219999953</v>
      </c>
      <c r="H21" s="51">
        <f t="shared" si="3"/>
        <v>21805.661219999893</v>
      </c>
      <c r="I21" s="32"/>
      <c r="J21" s="32"/>
      <c r="K21" s="32"/>
      <c r="L21" s="11"/>
      <c r="M21" s="12"/>
    </row>
    <row r="22" spans="1:13" s="8" customFormat="1" x14ac:dyDescent="0.25">
      <c r="A22" s="29" t="s">
        <v>52</v>
      </c>
      <c r="B22" s="52">
        <f>187477648/1000</f>
        <v>187477.64799999999</v>
      </c>
      <c r="C22" s="30">
        <v>406487053</v>
      </c>
      <c r="D22" s="30">
        <f>C27</f>
        <v>504333159.61000001</v>
      </c>
      <c r="E22" s="30">
        <f>D27</f>
        <v>596927422.55999994</v>
      </c>
      <c r="F22" s="30">
        <f>E27</f>
        <v>678067742.7299999</v>
      </c>
      <c r="G22" s="30">
        <f>B27</f>
        <v>187765.924</v>
      </c>
      <c r="H22" s="31">
        <f>G27</f>
        <v>161847.00400000002</v>
      </c>
      <c r="I22" s="32"/>
      <c r="J22" s="32"/>
      <c r="K22" s="32"/>
      <c r="L22" s="14"/>
      <c r="M22" s="15"/>
    </row>
    <row r="23" spans="1:13" ht="15.75" x14ac:dyDescent="0.25">
      <c r="A23" s="36" t="s">
        <v>53</v>
      </c>
      <c r="B23" s="53">
        <f>SUM(B24:B24)</f>
        <v>50324.966</v>
      </c>
      <c r="C23" s="37">
        <f t="shared" ref="C23:H23" si="4">SUM(C24:C24)</f>
        <v>103304636.61</v>
      </c>
      <c r="D23" s="37">
        <f t="shared" si="4"/>
        <v>109874252.94999999</v>
      </c>
      <c r="E23" s="37">
        <f t="shared" si="4"/>
        <v>109880010.17</v>
      </c>
      <c r="F23" s="37">
        <f t="shared" si="4"/>
        <v>110047550.44</v>
      </c>
      <c r="G23" s="37">
        <f t="shared" si="4"/>
        <v>51631</v>
      </c>
      <c r="H23" s="38">
        <f t="shared" si="4"/>
        <v>51886</v>
      </c>
      <c r="I23" s="18"/>
      <c r="J23" s="18"/>
      <c r="K23" s="18"/>
    </row>
    <row r="24" spans="1:13" ht="15.75" x14ac:dyDescent="0.25">
      <c r="A24" s="33" t="s">
        <v>54</v>
      </c>
      <c r="B24" s="40">
        <f>50324966/1000</f>
        <v>50324.966</v>
      </c>
      <c r="C24" s="34">
        <f>86810619*1.19</f>
        <v>103304636.61</v>
      </c>
      <c r="D24" s="34">
        <f>92331305*1.19</f>
        <v>109874252.94999999</v>
      </c>
      <c r="E24" s="34">
        <f>92336143*1.19</f>
        <v>109880010.17</v>
      </c>
      <c r="F24" s="34">
        <f>92477276*1.19-408</f>
        <v>110047550.44</v>
      </c>
      <c r="G24" s="34">
        <f>G14</f>
        <v>51631</v>
      </c>
      <c r="H24" s="35">
        <f>H14</f>
        <v>51886</v>
      </c>
      <c r="I24" s="18"/>
      <c r="J24" s="18"/>
      <c r="K24" s="18"/>
    </row>
    <row r="25" spans="1:13" ht="15.75" x14ac:dyDescent="0.25">
      <c r="A25" s="36" t="s">
        <v>39</v>
      </c>
      <c r="B25" s="43">
        <f>SUM(B26:B26)</f>
        <v>50036.69</v>
      </c>
      <c r="C25" s="43">
        <f t="shared" ref="C25:H25" si="5">SUM(C26:C26)</f>
        <v>5458530</v>
      </c>
      <c r="D25" s="43">
        <f t="shared" si="5"/>
        <v>17279990</v>
      </c>
      <c r="E25" s="43">
        <f t="shared" si="5"/>
        <v>28739690</v>
      </c>
      <c r="F25" s="43">
        <f t="shared" si="5"/>
        <v>25001900</v>
      </c>
      <c r="G25" s="43">
        <f t="shared" si="5"/>
        <v>77549.919999999998</v>
      </c>
      <c r="H25" s="44">
        <f t="shared" si="5"/>
        <v>66930.36</v>
      </c>
      <c r="I25" s="18"/>
      <c r="J25" s="18"/>
      <c r="K25" s="18"/>
    </row>
    <row r="26" spans="1:13" ht="16.5" thickBot="1" x14ac:dyDescent="0.3">
      <c r="A26" s="33" t="s">
        <v>55</v>
      </c>
      <c r="B26" s="40">
        <f>(50451000*1.19-10000000)/1000</f>
        <v>50036.69</v>
      </c>
      <c r="C26" s="34">
        <f>4587000*1.19</f>
        <v>5458530</v>
      </c>
      <c r="D26" s="34">
        <f>14521000*1.19</f>
        <v>17279990</v>
      </c>
      <c r="E26" s="34">
        <f>24151000*1.19</f>
        <v>28739690</v>
      </c>
      <c r="F26" s="39">
        <f>21010000*1.19</f>
        <v>25001900</v>
      </c>
      <c r="G26" s="34">
        <f>(65168000*1.19)/1000</f>
        <v>77549.919999999998</v>
      </c>
      <c r="H26" s="35">
        <f>(56244000*1.19)/1000</f>
        <v>66930.36</v>
      </c>
      <c r="I26" s="18"/>
      <c r="J26" s="18"/>
      <c r="K26" s="18"/>
    </row>
    <row r="27" spans="1:13" s="13" customFormat="1" ht="16.5" thickBot="1" x14ac:dyDescent="0.3">
      <c r="A27" s="29" t="s">
        <v>56</v>
      </c>
      <c r="B27" s="49">
        <f t="shared" ref="B27:H27" si="6">B22+B23-B25</f>
        <v>187765.924</v>
      </c>
      <c r="C27" s="49">
        <f t="shared" si="6"/>
        <v>504333159.61000001</v>
      </c>
      <c r="D27" s="49">
        <f t="shared" si="6"/>
        <v>596927422.55999994</v>
      </c>
      <c r="E27" s="49">
        <f t="shared" si="6"/>
        <v>678067742.7299999</v>
      </c>
      <c r="F27" s="49">
        <f t="shared" si="6"/>
        <v>763113393.16999984</v>
      </c>
      <c r="G27" s="49">
        <f t="shared" si="6"/>
        <v>161847.00400000002</v>
      </c>
      <c r="H27" s="54">
        <f t="shared" si="6"/>
        <v>146802.64400000003</v>
      </c>
      <c r="I27" s="55"/>
      <c r="J27" s="55"/>
      <c r="K27" s="55"/>
      <c r="L27" s="1"/>
      <c r="M27" s="10"/>
    </row>
    <row r="28" spans="1:13" s="11" customFormat="1" ht="16.5" thickBot="1" x14ac:dyDescent="0.3">
      <c r="A28" s="56" t="s">
        <v>57</v>
      </c>
      <c r="B28" s="57">
        <f t="shared" ref="B28:H28" si="7">B21+B27</f>
        <v>232540.65521999996</v>
      </c>
      <c r="C28" s="57">
        <f t="shared" si="7"/>
        <v>938954802.52999997</v>
      </c>
      <c r="D28" s="57">
        <f t="shared" si="7"/>
        <v>1060679960.9299999</v>
      </c>
      <c r="E28" s="57">
        <f t="shared" si="7"/>
        <v>1030208938.7699999</v>
      </c>
      <c r="F28" s="57">
        <f t="shared" si="7"/>
        <v>1146958762.5599999</v>
      </c>
      <c r="G28" s="57">
        <f t="shared" si="7"/>
        <v>198436.10521999997</v>
      </c>
      <c r="H28" s="58">
        <f t="shared" si="7"/>
        <v>168608.30521999992</v>
      </c>
      <c r="I28" s="59"/>
      <c r="J28" s="59"/>
      <c r="K28" s="59"/>
      <c r="L28"/>
      <c r="M28" s="3"/>
    </row>
    <row r="29" spans="1:13" ht="15.75" x14ac:dyDescent="0.25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</row>
    <row r="30" spans="1:13" ht="15.75" x14ac:dyDescent="0.25">
      <c r="A30" s="18" t="s">
        <v>58</v>
      </c>
      <c r="B30" s="20"/>
      <c r="C30" s="18"/>
      <c r="D30" s="18"/>
      <c r="E30" s="18"/>
      <c r="F30" s="18"/>
      <c r="G30" s="18"/>
      <c r="H30" s="18"/>
      <c r="I30" s="18"/>
      <c r="J30" s="18"/>
      <c r="K30" s="18"/>
    </row>
    <row r="31" spans="1:13" ht="15.75" x14ac:dyDescent="0.25">
      <c r="A31" s="18" t="s">
        <v>33</v>
      </c>
      <c r="B31" s="20"/>
      <c r="C31" s="18"/>
      <c r="D31" s="18"/>
      <c r="E31" s="18"/>
      <c r="F31" s="18"/>
      <c r="G31" s="18"/>
      <c r="H31" s="18"/>
      <c r="I31" s="18"/>
      <c r="J31" s="18"/>
      <c r="K31" s="18"/>
    </row>
    <row r="32" spans="1:13" ht="18.75" x14ac:dyDescent="0.3">
      <c r="A32" s="17"/>
      <c r="B32" s="16"/>
      <c r="C32" s="17"/>
      <c r="D32" s="17"/>
      <c r="E32" s="17"/>
      <c r="F32" s="17"/>
      <c r="G32" s="17"/>
      <c r="H32" s="17"/>
      <c r="I32" s="17"/>
      <c r="J32" s="17"/>
    </row>
    <row r="33" spans="1:10" ht="18.75" x14ac:dyDescent="0.3">
      <c r="A33" s="17"/>
      <c r="B33" s="16"/>
      <c r="C33" s="17"/>
      <c r="D33" s="17"/>
      <c r="E33" s="17"/>
      <c r="F33" s="17"/>
      <c r="G33" s="17"/>
      <c r="H33" s="17"/>
      <c r="I33" s="17"/>
      <c r="J33" s="17"/>
    </row>
  </sheetData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A11" workbookViewId="0">
      <selection activeCell="A32" sqref="A32"/>
    </sheetView>
  </sheetViews>
  <sheetFormatPr defaultRowHeight="15" x14ac:dyDescent="0.25"/>
  <cols>
    <col min="1" max="1" width="62.75" customWidth="1"/>
    <col min="2" max="2" width="17.75" style="2" customWidth="1"/>
    <col min="3" max="3" width="13.625" hidden="1" customWidth="1"/>
    <col min="4" max="5" width="11.125" hidden="1" customWidth="1"/>
    <col min="6" max="6" width="16.625" hidden="1" customWidth="1"/>
    <col min="7" max="7" width="17.875" customWidth="1"/>
    <col min="8" max="8" width="19.25" customWidth="1"/>
    <col min="12" max="12" width="17.5" customWidth="1"/>
    <col min="13" max="13" width="13.875" style="3" bestFit="1" customWidth="1"/>
  </cols>
  <sheetData>
    <row r="1" spans="1:13" ht="15.75" x14ac:dyDescent="0.25">
      <c r="A1" s="19" t="s">
        <v>0</v>
      </c>
      <c r="B1" s="20"/>
      <c r="C1" s="18"/>
      <c r="D1" s="18"/>
      <c r="E1" s="18"/>
      <c r="F1" s="18"/>
      <c r="G1" s="18"/>
      <c r="H1" s="19" t="s">
        <v>28</v>
      </c>
      <c r="I1" s="18"/>
      <c r="J1" s="18"/>
      <c r="K1" s="18"/>
    </row>
    <row r="2" spans="1:13" s="4" customFormat="1" ht="15.75" x14ac:dyDescent="0.25">
      <c r="A2" s="21" t="s">
        <v>23</v>
      </c>
      <c r="B2" s="20"/>
      <c r="C2" s="18"/>
      <c r="D2" s="18"/>
      <c r="E2" s="18"/>
      <c r="F2" s="18"/>
      <c r="G2" s="18"/>
      <c r="H2" s="18"/>
      <c r="I2" s="18"/>
      <c r="J2" s="18"/>
      <c r="K2" s="18"/>
      <c r="M2" s="5"/>
    </row>
    <row r="3" spans="1:13" s="4" customFormat="1" ht="15.75" x14ac:dyDescent="0.25">
      <c r="A3" s="19" t="s">
        <v>29</v>
      </c>
      <c r="B3" s="20"/>
      <c r="C3" s="18"/>
      <c r="D3" s="18"/>
      <c r="E3" s="18"/>
      <c r="F3" s="18"/>
      <c r="G3" s="18"/>
      <c r="H3" s="18"/>
      <c r="I3" s="18"/>
      <c r="J3" s="18"/>
      <c r="K3" s="18"/>
      <c r="M3" s="5"/>
    </row>
    <row r="4" spans="1:13" ht="16.5" thickBot="1" x14ac:dyDescent="0.3">
      <c r="A4" s="19"/>
      <c r="B4" s="20"/>
      <c r="C4" s="18"/>
      <c r="D4" s="18"/>
      <c r="E4" s="18"/>
      <c r="F4" s="18"/>
      <c r="G4" s="18"/>
      <c r="H4" s="18" t="s">
        <v>31</v>
      </c>
      <c r="I4" s="18"/>
      <c r="J4" s="18"/>
      <c r="K4" s="18"/>
    </row>
    <row r="5" spans="1:13" s="6" customFormat="1" ht="32.25" thickBot="1" x14ac:dyDescent="0.3">
      <c r="A5" s="22" t="s">
        <v>1</v>
      </c>
      <c r="B5" s="23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3" t="s">
        <v>7</v>
      </c>
      <c r="H5" s="60" t="s">
        <v>8</v>
      </c>
      <c r="I5" s="25"/>
      <c r="J5" s="25"/>
      <c r="K5" s="25"/>
      <c r="M5" s="7"/>
    </row>
    <row r="6" spans="1:13" s="8" customFormat="1" x14ac:dyDescent="0.25">
      <c r="A6" s="29" t="s">
        <v>25</v>
      </c>
      <c r="B6" s="30">
        <f>(406487053-187477648)/1000</f>
        <v>219009.405</v>
      </c>
      <c r="C6" s="30">
        <v>406487053</v>
      </c>
      <c r="D6" s="30">
        <f>C20</f>
        <v>434621642.92000002</v>
      </c>
      <c r="E6" s="30">
        <f>D20</f>
        <v>463752538.37</v>
      </c>
      <c r="F6" s="30">
        <f>E20</f>
        <v>352141196.03999996</v>
      </c>
      <c r="G6" s="30">
        <f>B20</f>
        <v>129774.73121999996</v>
      </c>
      <c r="H6" s="31">
        <f>G20</f>
        <v>121589.10122000001</v>
      </c>
      <c r="I6" s="32"/>
      <c r="J6" s="32"/>
      <c r="K6" s="32"/>
      <c r="M6" s="9"/>
    </row>
    <row r="7" spans="1:13" ht="15.75" x14ac:dyDescent="0.25">
      <c r="A7" s="33"/>
      <c r="B7" s="34"/>
      <c r="C7" s="34"/>
      <c r="D7" s="34"/>
      <c r="E7" s="34"/>
      <c r="F7" s="34"/>
      <c r="G7" s="34"/>
      <c r="H7" s="35"/>
      <c r="I7" s="18"/>
      <c r="J7" s="18"/>
      <c r="K7" s="18"/>
    </row>
    <row r="8" spans="1:13" ht="15.75" x14ac:dyDescent="0.25">
      <c r="A8" s="36" t="s">
        <v>9</v>
      </c>
      <c r="B8" s="37">
        <f>(B9+B10+B11)</f>
        <v>439285.85622000002</v>
      </c>
      <c r="C8" s="37">
        <f t="shared" ref="C8:H8" si="0">C9+C10+C11</f>
        <v>103349243.61</v>
      </c>
      <c r="D8" s="37">
        <f t="shared" si="0"/>
        <v>114058110.94999999</v>
      </c>
      <c r="E8" s="37">
        <f t="shared" si="0"/>
        <v>110805555.17</v>
      </c>
      <c r="F8" s="37">
        <f t="shared" si="0"/>
        <v>110897550.44</v>
      </c>
      <c r="G8" s="37">
        <f t="shared" si="0"/>
        <v>441448.55</v>
      </c>
      <c r="H8" s="38">
        <f t="shared" si="0"/>
        <v>443616.73</v>
      </c>
      <c r="I8" s="18"/>
      <c r="J8" s="18"/>
      <c r="K8" s="18"/>
    </row>
    <row r="9" spans="1:13" ht="15.75" x14ac:dyDescent="0.25">
      <c r="A9" s="33" t="s">
        <v>10</v>
      </c>
      <c r="B9" s="39">
        <f>(363955000*1.19)/1000</f>
        <v>433106.45</v>
      </c>
      <c r="C9" s="34">
        <f>86810619*1.19</f>
        <v>103304636.61</v>
      </c>
      <c r="D9" s="34">
        <f>92331305*1.19</f>
        <v>109874252.94999999</v>
      </c>
      <c r="E9" s="34">
        <f>92336143*1.19</f>
        <v>109880010.17</v>
      </c>
      <c r="F9" s="34">
        <f>92477276*1.19-408</f>
        <v>110047550.44</v>
      </c>
      <c r="G9" s="34">
        <f>(368795000*1.19)/1000</f>
        <v>438866.05</v>
      </c>
      <c r="H9" s="35">
        <f>(370617000*1.19)/1000</f>
        <v>441034.23</v>
      </c>
      <c r="I9" s="18"/>
      <c r="J9" s="18"/>
      <c r="K9" s="18"/>
    </row>
    <row r="10" spans="1:13" ht="15.75" x14ac:dyDescent="0.25">
      <c r="A10" s="33" t="s">
        <v>11</v>
      </c>
      <c r="B10" s="40">
        <f>(1750000*1.19+1341938*1.19)/1000</f>
        <v>3679.4062199999998</v>
      </c>
      <c r="C10" s="41">
        <v>0</v>
      </c>
      <c r="D10" s="41">
        <v>2000000</v>
      </c>
      <c r="E10" s="41">
        <v>750000</v>
      </c>
      <c r="F10" s="41">
        <v>750000</v>
      </c>
      <c r="G10" s="41">
        <f>(1750000*1.19)/1000</f>
        <v>2082.5</v>
      </c>
      <c r="H10" s="42">
        <f>(1750000*1.19)/1000</f>
        <v>2082.5</v>
      </c>
      <c r="I10" s="18"/>
      <c r="J10" s="18"/>
      <c r="K10" s="18"/>
    </row>
    <row r="11" spans="1:13" ht="15.75" x14ac:dyDescent="0.25">
      <c r="A11" s="33" t="s">
        <v>12</v>
      </c>
      <c r="B11" s="40">
        <f>2500000/1000</f>
        <v>2500</v>
      </c>
      <c r="C11" s="34">
        <v>44607</v>
      </c>
      <c r="D11" s="34">
        <f>1797793-175545+606217-44607</f>
        <v>2183858</v>
      </c>
      <c r="E11" s="34">
        <v>175545</v>
      </c>
      <c r="F11" s="34">
        <v>100000</v>
      </c>
      <c r="G11" s="41">
        <f>500000/1000</f>
        <v>500</v>
      </c>
      <c r="H11" s="42">
        <f>500000/1000</f>
        <v>500</v>
      </c>
      <c r="I11" s="18"/>
      <c r="J11" s="18"/>
      <c r="K11" s="18"/>
    </row>
    <row r="12" spans="1:13" ht="15.75" x14ac:dyDescent="0.25">
      <c r="A12" s="36" t="s">
        <v>13</v>
      </c>
      <c r="B12" s="43">
        <f>SUM(B13:B19)</f>
        <v>528520.53</v>
      </c>
      <c r="C12" s="43">
        <f t="shared" ref="C12:G12" si="1">SUM(C13:C19)</f>
        <v>75214653.689999998</v>
      </c>
      <c r="D12" s="43">
        <f t="shared" si="1"/>
        <v>84927215.5</v>
      </c>
      <c r="E12" s="43">
        <f t="shared" si="1"/>
        <v>222416897.5</v>
      </c>
      <c r="F12" s="43">
        <f t="shared" si="1"/>
        <v>79193377.090000004</v>
      </c>
      <c r="G12" s="43">
        <f t="shared" si="1"/>
        <v>449634.18</v>
      </c>
      <c r="H12" s="44">
        <f>SUM(H13:H19)</f>
        <v>458400.17000000004</v>
      </c>
      <c r="I12" s="18"/>
      <c r="J12" s="18"/>
      <c r="K12" s="18"/>
    </row>
    <row r="13" spans="1:13" ht="15.75" x14ac:dyDescent="0.25">
      <c r="A13" s="33" t="s">
        <v>14</v>
      </c>
      <c r="B13" s="40">
        <f>50324966/1000</f>
        <v>50324.966</v>
      </c>
      <c r="C13" s="45"/>
      <c r="D13" s="45"/>
      <c r="E13" s="45"/>
      <c r="F13" s="45"/>
      <c r="G13" s="34">
        <f>51631000/1000</f>
        <v>51631</v>
      </c>
      <c r="H13" s="35">
        <f>51886000/1000</f>
        <v>51886</v>
      </c>
      <c r="I13" s="18"/>
      <c r="J13" s="18"/>
      <c r="K13" s="18"/>
    </row>
    <row r="14" spans="1:13" ht="15.75" x14ac:dyDescent="0.25">
      <c r="A14" s="33" t="s">
        <v>15</v>
      </c>
      <c r="B14" s="40">
        <f>(90273000*1.19+(64269000-50451000)*1.19)/1000</f>
        <v>123868.29</v>
      </c>
      <c r="C14" s="34">
        <f>23756051*1.19</f>
        <v>28269700.689999998</v>
      </c>
      <c r="D14" s="34">
        <f>22028650*1.19</f>
        <v>26214093.5</v>
      </c>
      <c r="E14" s="34">
        <f>21910050*1.19</f>
        <v>26072959.5</v>
      </c>
      <c r="F14" s="34">
        <f>22578511*1.19+688-1000</f>
        <v>26868116.09</v>
      </c>
      <c r="G14" s="34">
        <f>(90080000*1.19+14142000*1.19)/1000</f>
        <v>124024.18</v>
      </c>
      <c r="H14" s="35">
        <f>(91532000*1.19+21011000*1.19)/1000</f>
        <v>133926.17000000001</v>
      </c>
      <c r="I14" s="18"/>
      <c r="J14" s="18"/>
      <c r="K14" s="18"/>
    </row>
    <row r="15" spans="1:13" ht="15.75" x14ac:dyDescent="0.25">
      <c r="A15" s="33" t="s">
        <v>16</v>
      </c>
      <c r="B15" s="40">
        <f>(111960000-4756000-19204000-26772000)/1000</f>
        <v>61228</v>
      </c>
      <c r="C15" s="39">
        <f>26243815-4336731</f>
        <v>21907084</v>
      </c>
      <c r="D15" s="39">
        <f>32698984-4756000-5538016</f>
        <v>22404968</v>
      </c>
      <c r="E15" s="39">
        <f>26751526-4426242</f>
        <v>22325284</v>
      </c>
      <c r="F15" s="39">
        <f>26265860-4503338-185</f>
        <v>21762337</v>
      </c>
      <c r="G15" s="34">
        <f>(77625000-25616250+650000+12210000-4762000+2300000+400000)/1000</f>
        <v>62806.75</v>
      </c>
      <c r="H15" s="35">
        <f>(77625000-25616250+650000+12210000-4762000+2300000+500000)/1000</f>
        <v>62906.75</v>
      </c>
      <c r="I15" s="18"/>
      <c r="J15" s="18"/>
      <c r="K15" s="18"/>
    </row>
    <row r="16" spans="1:13" ht="15.75" x14ac:dyDescent="0.25">
      <c r="A16" s="33" t="s">
        <v>17</v>
      </c>
      <c r="B16" s="40">
        <f>(29058000+4500000*12+14247000+19204000+26772000)/1000</f>
        <v>143281</v>
      </c>
      <c r="C16" s="39">
        <f>4336731+6563000+263138+3*4500000</f>
        <v>24662869</v>
      </c>
      <c r="D16" s="39">
        <f>5538016+7127000+263138+3*4500000+4749000</f>
        <v>31177154</v>
      </c>
      <c r="E16" s="39">
        <f>4426242+7143000+263138+3*4500000+4749000</f>
        <v>30081380</v>
      </c>
      <c r="F16" s="39">
        <f>4503338+7171981+263138+3*4500000+4749000+467</f>
        <v>30187924</v>
      </c>
      <c r="G16" s="34">
        <f>(25616250+18777000+29785000+13685000+4500000*12)/1000</f>
        <v>141863.25</v>
      </c>
      <c r="H16" s="35">
        <f>(25616250+18777000+30095000+13702000+4500000*12)/1000</f>
        <v>142190.25</v>
      </c>
      <c r="I16" s="18"/>
      <c r="J16" s="18"/>
      <c r="K16" s="18"/>
    </row>
    <row r="17" spans="1:13" ht="15.75" x14ac:dyDescent="0.25">
      <c r="A17" s="46" t="s">
        <v>18</v>
      </c>
      <c r="B17" s="41">
        <f>(69836604+17118920+56606750)/1000</f>
        <v>143562.274</v>
      </c>
      <c r="C17" s="34">
        <v>0</v>
      </c>
      <c r="D17" s="34">
        <v>0</v>
      </c>
      <c r="E17" s="34">
        <f>69836604+17118920+56606750</f>
        <v>143562274</v>
      </c>
      <c r="F17" s="34">
        <v>0</v>
      </c>
      <c r="G17" s="34">
        <f>62837000/1000</f>
        <v>62837</v>
      </c>
      <c r="H17" s="35">
        <f>61019000/1000</f>
        <v>61019</v>
      </c>
      <c r="I17" s="18"/>
      <c r="J17" s="18"/>
      <c r="K17" s="18"/>
    </row>
    <row r="18" spans="1:13" ht="15.75" x14ac:dyDescent="0.25">
      <c r="A18" s="46" t="s">
        <v>19</v>
      </c>
      <c r="B18" s="40">
        <f>4756000/1000</f>
        <v>4756</v>
      </c>
      <c r="C18" s="34">
        <v>0</v>
      </c>
      <c r="D18" s="34">
        <v>4756000</v>
      </c>
      <c r="E18" s="34">
        <v>0</v>
      </c>
      <c r="F18" s="34">
        <v>0</v>
      </c>
      <c r="G18" s="34">
        <f>4972000/1000</f>
        <v>4972</v>
      </c>
      <c r="H18" s="35">
        <f>4972000/1000</f>
        <v>4972</v>
      </c>
      <c r="I18" s="18"/>
      <c r="J18" s="18"/>
      <c r="K18" s="18"/>
    </row>
    <row r="19" spans="1:13" ht="15.75" x14ac:dyDescent="0.25">
      <c r="A19" s="46" t="s">
        <v>20</v>
      </c>
      <c r="B19" s="40">
        <f>1500000/1000</f>
        <v>1500</v>
      </c>
      <c r="C19" s="34">
        <f>1500000/4</f>
        <v>375000</v>
      </c>
      <c r="D19" s="34">
        <f t="shared" ref="D19:F19" si="2">1500000/4</f>
        <v>375000</v>
      </c>
      <c r="E19" s="34">
        <f t="shared" si="2"/>
        <v>375000</v>
      </c>
      <c r="F19" s="34">
        <f t="shared" si="2"/>
        <v>375000</v>
      </c>
      <c r="G19" s="34">
        <f>1500000/1000</f>
        <v>1500</v>
      </c>
      <c r="H19" s="35">
        <f>1500000/1000</f>
        <v>1500</v>
      </c>
      <c r="I19" s="18"/>
      <c r="J19" s="18"/>
      <c r="K19" s="18"/>
    </row>
    <row r="20" spans="1:13" s="8" customFormat="1" ht="15.75" thickBot="1" x14ac:dyDescent="0.3">
      <c r="A20" s="47" t="s">
        <v>24</v>
      </c>
      <c r="B20" s="48">
        <f t="shared" ref="B20:H20" si="3">B6+B8-B12</f>
        <v>129774.73121999996</v>
      </c>
      <c r="C20" s="49">
        <f t="shared" si="3"/>
        <v>434621642.92000002</v>
      </c>
      <c r="D20" s="49">
        <f t="shared" si="3"/>
        <v>463752538.37</v>
      </c>
      <c r="E20" s="49">
        <f t="shared" si="3"/>
        <v>352141196.03999996</v>
      </c>
      <c r="F20" s="49">
        <f t="shared" si="3"/>
        <v>383845369.38999999</v>
      </c>
      <c r="G20" s="50">
        <f t="shared" si="3"/>
        <v>121589.10122000001</v>
      </c>
      <c r="H20" s="51">
        <f t="shared" si="3"/>
        <v>106805.66122000001</v>
      </c>
      <c r="I20" s="32"/>
      <c r="J20" s="32"/>
      <c r="K20" s="32"/>
      <c r="L20" s="11"/>
      <c r="M20" s="12"/>
    </row>
    <row r="21" spans="1:13" s="8" customFormat="1" x14ac:dyDescent="0.25">
      <c r="A21" s="29" t="s">
        <v>30</v>
      </c>
      <c r="B21" s="52">
        <f>187477648/1000</f>
        <v>187477.64799999999</v>
      </c>
      <c r="C21" s="30">
        <v>406487053</v>
      </c>
      <c r="D21" s="30">
        <f>C26</f>
        <v>504333159.61000001</v>
      </c>
      <c r="E21" s="30">
        <f>D26</f>
        <v>596927422.55999994</v>
      </c>
      <c r="F21" s="30">
        <f>E26</f>
        <v>678067742.7299999</v>
      </c>
      <c r="G21" s="30">
        <f>B26</f>
        <v>187765.924</v>
      </c>
      <c r="H21" s="31">
        <f>G26</f>
        <v>161847.00400000002</v>
      </c>
      <c r="I21" s="32"/>
      <c r="J21" s="32"/>
      <c r="K21" s="32"/>
      <c r="L21" s="14"/>
      <c r="M21" s="15"/>
    </row>
    <row r="22" spans="1:13" ht="15.75" x14ac:dyDescent="0.25">
      <c r="A22" s="36" t="s">
        <v>9</v>
      </c>
      <c r="B22" s="53">
        <f>SUM(B23:B23)</f>
        <v>50324.966</v>
      </c>
      <c r="C22" s="37">
        <f t="shared" ref="C22:H22" si="4">SUM(C23:C23)</f>
        <v>103304636.61</v>
      </c>
      <c r="D22" s="37">
        <f t="shared" si="4"/>
        <v>109874252.94999999</v>
      </c>
      <c r="E22" s="37">
        <f t="shared" si="4"/>
        <v>109880010.17</v>
      </c>
      <c r="F22" s="37">
        <f t="shared" si="4"/>
        <v>110047550.44</v>
      </c>
      <c r="G22" s="37">
        <f t="shared" si="4"/>
        <v>51631</v>
      </c>
      <c r="H22" s="38">
        <f t="shared" si="4"/>
        <v>51886</v>
      </c>
      <c r="I22" s="18"/>
      <c r="J22" s="18"/>
      <c r="K22" s="18"/>
    </row>
    <row r="23" spans="1:13" ht="15.75" x14ac:dyDescent="0.25">
      <c r="A23" s="33" t="s">
        <v>21</v>
      </c>
      <c r="B23" s="40">
        <f>50324966/1000</f>
        <v>50324.966</v>
      </c>
      <c r="C23" s="34">
        <f>86810619*1.19</f>
        <v>103304636.61</v>
      </c>
      <c r="D23" s="34">
        <f>92331305*1.19</f>
        <v>109874252.94999999</v>
      </c>
      <c r="E23" s="34">
        <f>92336143*1.19</f>
        <v>109880010.17</v>
      </c>
      <c r="F23" s="34">
        <f>92477276*1.19-408</f>
        <v>110047550.44</v>
      </c>
      <c r="G23" s="34">
        <f>G13</f>
        <v>51631</v>
      </c>
      <c r="H23" s="35">
        <f>H13</f>
        <v>51886</v>
      </c>
      <c r="I23" s="18"/>
      <c r="J23" s="18"/>
      <c r="K23" s="18"/>
    </row>
    <row r="24" spans="1:13" ht="15.75" x14ac:dyDescent="0.25">
      <c r="A24" s="36" t="s">
        <v>13</v>
      </c>
      <c r="B24" s="43">
        <f>SUM(B25:B25)</f>
        <v>50036.69</v>
      </c>
      <c r="C24" s="43">
        <f t="shared" ref="C24:H24" si="5">SUM(C25:C25)</f>
        <v>5458530</v>
      </c>
      <c r="D24" s="43">
        <f t="shared" si="5"/>
        <v>17279990</v>
      </c>
      <c r="E24" s="43">
        <f t="shared" si="5"/>
        <v>28739690</v>
      </c>
      <c r="F24" s="43">
        <f t="shared" si="5"/>
        <v>25001900</v>
      </c>
      <c r="G24" s="43">
        <f t="shared" si="5"/>
        <v>77549.919999999998</v>
      </c>
      <c r="H24" s="44">
        <f t="shared" si="5"/>
        <v>66930.36</v>
      </c>
      <c r="I24" s="18"/>
      <c r="J24" s="18"/>
      <c r="K24" s="18"/>
    </row>
    <row r="25" spans="1:13" ht="16.5" thickBot="1" x14ac:dyDescent="0.3">
      <c r="A25" s="33" t="s">
        <v>22</v>
      </c>
      <c r="B25" s="40">
        <f>(50451000*1.19-10000000)/1000</f>
        <v>50036.69</v>
      </c>
      <c r="C25" s="34">
        <f>4587000*1.19</f>
        <v>5458530</v>
      </c>
      <c r="D25" s="34">
        <f>14521000*1.19</f>
        <v>17279990</v>
      </c>
      <c r="E25" s="34">
        <f>24151000*1.19</f>
        <v>28739690</v>
      </c>
      <c r="F25" s="39">
        <f>21010000*1.19</f>
        <v>25001900</v>
      </c>
      <c r="G25" s="34">
        <f>(65168000*1.19)/1000</f>
        <v>77549.919999999998</v>
      </c>
      <c r="H25" s="35">
        <f>(56244000*1.19)/1000</f>
        <v>66930.36</v>
      </c>
      <c r="I25" s="18"/>
      <c r="J25" s="18"/>
      <c r="K25" s="18"/>
    </row>
    <row r="26" spans="1:13" s="13" customFormat="1" ht="16.5" thickBot="1" x14ac:dyDescent="0.3">
      <c r="A26" s="29" t="s">
        <v>26</v>
      </c>
      <c r="B26" s="49">
        <f t="shared" ref="B26:H26" si="6">B21+B22-B24</f>
        <v>187765.924</v>
      </c>
      <c r="C26" s="49">
        <f t="shared" si="6"/>
        <v>504333159.61000001</v>
      </c>
      <c r="D26" s="49">
        <f t="shared" si="6"/>
        <v>596927422.55999994</v>
      </c>
      <c r="E26" s="49">
        <f t="shared" si="6"/>
        <v>678067742.7299999</v>
      </c>
      <c r="F26" s="49">
        <f t="shared" si="6"/>
        <v>763113393.16999984</v>
      </c>
      <c r="G26" s="49">
        <f t="shared" si="6"/>
        <v>161847.00400000002</v>
      </c>
      <c r="H26" s="54">
        <f t="shared" si="6"/>
        <v>146802.64400000003</v>
      </c>
      <c r="I26" s="55"/>
      <c r="J26" s="55"/>
      <c r="K26" s="55"/>
      <c r="L26" s="1"/>
      <c r="M26" s="10"/>
    </row>
    <row r="27" spans="1:13" s="11" customFormat="1" ht="16.5" thickBot="1" x14ac:dyDescent="0.3">
      <c r="A27" s="56" t="s">
        <v>27</v>
      </c>
      <c r="B27" s="57">
        <f t="shared" ref="B27:H27" si="7">B20+B26</f>
        <v>317540.65521999996</v>
      </c>
      <c r="C27" s="57">
        <f t="shared" si="7"/>
        <v>938954802.52999997</v>
      </c>
      <c r="D27" s="57">
        <f t="shared" si="7"/>
        <v>1060679960.9299999</v>
      </c>
      <c r="E27" s="57">
        <f t="shared" si="7"/>
        <v>1030208938.7699999</v>
      </c>
      <c r="F27" s="57">
        <f t="shared" si="7"/>
        <v>1146958762.5599999</v>
      </c>
      <c r="G27" s="57">
        <f t="shared" si="7"/>
        <v>283436.10522000003</v>
      </c>
      <c r="H27" s="58">
        <f t="shared" si="7"/>
        <v>253608.30522000004</v>
      </c>
      <c r="I27" s="59"/>
      <c r="J27" s="59"/>
      <c r="K27" s="59"/>
      <c r="L27"/>
      <c r="M27" s="3"/>
    </row>
    <row r="28" spans="1:13" ht="15.75" x14ac:dyDescent="0.25">
      <c r="A28" s="18"/>
      <c r="B28" s="20"/>
      <c r="C28" s="18"/>
      <c r="D28" s="18"/>
      <c r="E28" s="18"/>
      <c r="F28" s="18"/>
      <c r="G28" s="18"/>
      <c r="H28" s="18"/>
      <c r="I28" s="18"/>
      <c r="J28" s="18"/>
      <c r="K28" s="18"/>
    </row>
    <row r="29" spans="1:13" ht="15.75" x14ac:dyDescent="0.25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</row>
    <row r="30" spans="1:13" ht="15.75" x14ac:dyDescent="0.25">
      <c r="A30" s="18" t="s">
        <v>32</v>
      </c>
      <c r="B30" s="20"/>
      <c r="C30" s="18"/>
      <c r="D30" s="18"/>
      <c r="E30" s="18"/>
      <c r="F30" s="18"/>
      <c r="G30" s="18"/>
      <c r="H30" s="18"/>
      <c r="I30" s="18"/>
      <c r="J30" s="18"/>
      <c r="K30" s="18"/>
    </row>
    <row r="31" spans="1:13" ht="18.75" x14ac:dyDescent="0.3">
      <c r="A31" s="18" t="s">
        <v>33</v>
      </c>
      <c r="B31" s="16"/>
      <c r="C31" s="17"/>
      <c r="D31" s="17"/>
      <c r="E31" s="17"/>
      <c r="F31" s="17"/>
      <c r="G31" s="17"/>
      <c r="H31" s="17"/>
      <c r="I31" s="17"/>
      <c r="J31" s="17"/>
    </row>
    <row r="32" spans="1:13" ht="18.75" x14ac:dyDescent="0.3">
      <c r="A32" s="17"/>
      <c r="B32" s="16"/>
      <c r="C32" s="17"/>
      <c r="D32" s="17"/>
      <c r="E32" s="17"/>
      <c r="F32" s="17"/>
      <c r="G32" s="17"/>
      <c r="H32" s="17"/>
      <c r="I32" s="17"/>
      <c r="J32" s="17"/>
    </row>
  </sheetData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 85 mil</vt:lpstr>
      <vt:lpstr>fara 85 mil lei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Toma</dc:creator>
  <cp:lastModifiedBy>Oana Turiac</cp:lastModifiedBy>
  <cp:lastPrinted>2017-09-21T10:28:15Z</cp:lastPrinted>
  <dcterms:created xsi:type="dcterms:W3CDTF">2017-05-26T07:23:53Z</dcterms:created>
  <dcterms:modified xsi:type="dcterms:W3CDTF">2017-09-25T15:21:14Z</dcterms:modified>
</cp:coreProperties>
</file>